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03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<sst xmlns="http://schemas.openxmlformats.org/spreadsheetml/2006/main" count="134" uniqueCount="65">
  <si>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</si>
  <si>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</si>
  <si>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</si>
  <si>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</si>
  <si>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</si>
  <si>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</si>
  <si>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</si>
  <si>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</si>
  <si>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</si>
  <si>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</si>
  <si>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</si>
  <si>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</si>
  <si>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</si>
  <si>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</si>
  <si>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</si>
  <si>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</si>
  <si>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</si>
  <si>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</si>
  <si>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</si>
  <si>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</si>
  <si>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</si>
  <si>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</si>
  <si>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</si>
  <si>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</si>
  <si>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</si>
  <si>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</si>
  <si>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</si>
  <si>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</si>
  <si>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</si>
  <si>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</si>
  <si>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</si>
  <si>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</si>
  <si>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</si>
  <si>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</si>
  <si>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</si>
  <si>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</si>
  <si>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</si>
  <si>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</si>
  <si>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</si>
  <si>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</si>
  <si>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</si>
  <si>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</si>
  <si>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</si>
  <si>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</si>
  <si>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</si>
  <si>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</si>
  <si>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Responsável Técnico</t>
  </si>
  <si>
    <t>Responsável Tomador</t>
  </si>
  <si>
    <t>Nome:</t>
  </si>
  <si>
    <t>Estudos e Projetos, Planos e Gerenciamento e outros correlatos</t>
  </si>
  <si>
    <t>K1</t>
  </si>
  <si>
    <t>Título:</t>
  </si>
  <si>
    <t>Cargo:</t>
  </si>
  <si>
    <t>K2</t>
  </si>
  <si>
    <t/>
  </si>
  <si>
    <t>K3</t>
  </si>
  <si>
    <t>CREA/CAU:</t>
  </si>
  <si>
    <t>PREFEITURA DE CORGUINHO</t>
  </si>
  <si>
    <t>Sim</t>
  </si>
  <si>
    <t>CORGUINHO</t>
  </si>
  <si>
    <t>THIAGO SANCHES ALVES CORRÊA</t>
  </si>
  <si>
    <t>ENG CIVIL</t>
  </si>
  <si>
    <t>11.027/D-MS</t>
  </si>
  <si>
    <t>CONSTRUÇÃO DE PRAÇA</t>
  </si>
  <si>
    <t>16 de Junho de 2021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</si>
</sst>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d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0" fontId="2" fillId="0" borderId="0" xfId="48" applyFont="1" applyAlignment="1" applyProtection="1">
      <alignment horizontal="center"/>
      <protection/>
    </xf>
    <xf numFmtId="0" fontId="3" fillId="0" borderId="10" xfId="48" applyFont="1" applyBorder="1" applyAlignment="1" applyProtection="1">
      <alignment horizontal="center"/>
      <protection/>
    </xf>
    <xf numFmtId="10" fontId="4" fillId="0" borderId="10" xfId="48" applyNumberFormat="1" applyFont="1" applyFill="1" applyBorder="1" applyAlignment="1" applyProtection="1">
      <alignment horizontal="center"/>
      <protection/>
    </xf>
    <xf numFmtId="0" fontId="5" fillId="0" borderId="0" xfId="48" applyFont="1" applyAlignment="1" applyProtection="1">
      <alignment horizontal="center"/>
      <protection/>
    </xf>
    <xf numFmtId="0" fontId="7" fillId="0" borderId="0" xfId="48" applyFont="1" applyAlignment="1" applyProtection="1">
      <alignment/>
      <protection/>
    </xf>
    <xf numFmtId="0" fontId="3" fillId="0" borderId="0" xfId="48" applyFont="1" applyProtection="1">
      <alignment/>
      <protection/>
    </xf>
    <xf numFmtId="0" fontId="3" fillId="0" borderId="10" xfId="48" applyFont="1" applyFill="1" applyBorder="1" applyAlignment="1" applyProtection="1">
      <alignment horizontal="center" vertical="center" wrapText="1"/>
      <protection/>
    </xf>
    <xf numFmtId="0" fontId="8" fillId="0" borderId="10" xfId="48" applyFont="1" applyFill="1" applyBorder="1" applyAlignment="1" applyProtection="1">
      <alignment horizontal="center" vertical="center"/>
      <protection/>
    </xf>
    <xf numFmtId="0" fontId="3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Font="1" applyBorder="1" applyAlignment="1" applyProtection="1">
      <alignment horizontal="center" vertical="center"/>
      <protection/>
    </xf>
    <xf numFmtId="10" fontId="9" fillId="33" borderId="10" xfId="48" applyNumberFormat="1" applyFont="1" applyFill="1" applyBorder="1" applyAlignment="1" applyProtection="1">
      <alignment horizontal="center" vertical="center"/>
      <protection locked="0"/>
    </xf>
    <xf numFmtId="4" fontId="8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 wrapText="1"/>
      <protection/>
    </xf>
    <xf numFmtId="0" fontId="9" fillId="0" borderId="10" xfId="48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 applyProtection="1">
      <alignment horizontal="center" vertical="center" wrapText="1"/>
      <protection/>
    </xf>
    <xf numFmtId="10" fontId="10" fillId="0" borderId="0" xfId="48" applyNumberFormat="1" applyFont="1" applyFill="1" applyBorder="1" applyAlignment="1" applyProtection="1">
      <alignment horizontal="center" vertical="center"/>
      <protection/>
    </xf>
    <xf numFmtId="4" fontId="8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14" fillId="0" borderId="0" xfId="48" applyFont="1" applyBorder="1" applyAlignment="1" applyProtection="1">
      <alignment horizontal="center" vertical="top"/>
      <protection/>
    </xf>
    <xf numFmtId="171" fontId="2" fillId="0" borderId="0" xfId="48" applyNumberFormat="1" applyFont="1" applyAlignment="1" applyProtection="1">
      <alignment/>
      <protection/>
    </xf>
    <xf numFmtId="0" fontId="9" fillId="0" borderId="0" xfId="48" applyFont="1" applyBorder="1" applyProtection="1">
      <alignment/>
      <protection/>
    </xf>
    <xf numFmtId="0" fontId="2" fillId="0" borderId="0" xfId="48" applyFont="1" applyBorder="1" applyProtection="1">
      <alignment/>
      <protection/>
    </xf>
    <xf numFmtId="0" fontId="3" fillId="0" borderId="0" xfId="49" applyFont="1" applyBorder="1" applyAlignment="1" applyProtection="1">
      <alignment horizontal="left" vertical="top"/>
      <protection/>
    </xf>
    <xf numFmtId="0" fontId="9" fillId="0" borderId="0" xfId="48" applyFont="1" applyProtection="1">
      <alignment/>
      <protection/>
    </xf>
    <xf numFmtId="0" fontId="9" fillId="0" borderId="0" xfId="48" applyFont="1" applyAlignment="1" applyProtection="1">
      <alignment vertical="top"/>
      <protection/>
    </xf>
    <xf numFmtId="0" fontId="2" fillId="0" borderId="0" xfId="48" applyFont="1" applyAlignment="1" applyProtection="1">
      <alignment horizontal="left"/>
      <protection/>
    </xf>
    <xf numFmtId="0" fontId="2" fillId="0" borderId="11" xfId="48" applyFont="1" applyBorder="1" applyAlignment="1" applyProtection="1">
      <alignment horizontal="center"/>
      <protection/>
    </xf>
    <xf numFmtId="0" fontId="2" fillId="0" borderId="12" xfId="48" applyFont="1" applyBorder="1" applyAlignment="1" applyProtection="1">
      <alignment horizontal="center"/>
      <protection/>
    </xf>
    <xf numFmtId="0" fontId="3" fillId="0" borderId="13" xfId="48" applyFont="1" applyBorder="1" applyAlignment="1" applyProtection="1">
      <alignment horizontal="center"/>
      <protection/>
    </xf>
    <xf numFmtId="0" fontId="3" fillId="0" borderId="14" xfId="48" applyFont="1" applyBorder="1" applyAlignment="1" applyProtection="1">
      <alignment horizontal="center"/>
      <protection/>
    </xf>
    <xf numFmtId="0" fontId="3" fillId="0" borderId="11" xfId="49" applyFont="1" applyBorder="1" applyAlignment="1" applyProtection="1">
      <alignment horizontal="left" vertical="top"/>
      <protection/>
    </xf>
    <xf numFmtId="0" fontId="3" fillId="0" borderId="12" xfId="49" applyFont="1" applyBorder="1" applyAlignment="1" applyProtection="1">
      <alignment horizontal="left" vertical="top"/>
      <protection/>
    </xf>
    <xf numFmtId="0" fontId="3" fillId="0" borderId="0" xfId="49" applyFont="1" applyBorder="1" applyAlignment="1" applyProtection="1">
      <alignment horizontal="left" vertical="top"/>
      <protection/>
    </xf>
    <xf numFmtId="170" fontId="6" fillId="33" borderId="13" xfId="46" applyFont="1" applyFill="1" applyBorder="1" applyAlignment="1" applyProtection="1">
      <alignment horizontal="left"/>
      <protection locked="0"/>
    </xf>
    <xf numFmtId="170" fontId="6" fillId="33" borderId="15" xfId="46" applyFont="1" applyFill="1" applyBorder="1" applyAlignment="1" applyProtection="1">
      <alignment horizontal="left"/>
      <protection locked="0"/>
    </xf>
    <xf numFmtId="170" fontId="6" fillId="33" borderId="14" xfId="46" applyFont="1" applyFill="1" applyBorder="1" applyAlignment="1" applyProtection="1">
      <alignment horizontal="left"/>
      <protection locked="0"/>
    </xf>
    <xf numFmtId="0" fontId="2" fillId="33" borderId="13" xfId="48" applyFont="1" applyFill="1" applyBorder="1" applyAlignment="1" applyProtection="1">
      <alignment horizontal="center" vertical="top" wrapText="1"/>
      <protection locked="0"/>
    </xf>
    <xf numFmtId="0" fontId="2" fillId="33" borderId="14" xfId="48" applyFont="1" applyFill="1" applyBorder="1" applyAlignment="1" applyProtection="1">
      <alignment horizontal="center" vertical="top" wrapText="1"/>
      <protection locked="0"/>
    </xf>
    <xf numFmtId="3" fontId="2" fillId="33" borderId="13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Font="1" applyFill="1" applyBorder="1" applyAlignment="1" applyProtection="1">
      <alignment horizontal="left" vertical="top" wrapText="1"/>
      <protection/>
    </xf>
    <xf numFmtId="49" fontId="2" fillId="33" borderId="13" xfId="48" applyNumberFormat="1" applyFont="1" applyFill="1" applyBorder="1" applyAlignment="1" applyProtection="1">
      <alignment horizontal="left" vertical="top" wrapText="1"/>
      <protection/>
    </xf>
    <xf numFmtId="0" fontId="2" fillId="33" borderId="15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NumberFormat="1" applyFont="1" applyFill="1" applyBorder="1" applyAlignment="1" applyProtection="1">
      <alignment horizontal="left" vertical="top" wrapText="1"/>
      <protection/>
    </xf>
    <xf numFmtId="49" fontId="2" fillId="33" borderId="15" xfId="48" applyNumberFormat="1" applyFont="1" applyFill="1" applyBorder="1" applyAlignment="1" applyProtection="1">
      <alignment horizontal="left" vertical="top" wrapText="1"/>
      <protection/>
    </xf>
    <xf numFmtId="49" fontId="2" fillId="33" borderId="14" xfId="48" applyNumberFormat="1" applyFont="1" applyFill="1" applyBorder="1" applyAlignment="1" applyProtection="1">
      <alignment horizontal="left" vertical="top" wrapText="1"/>
      <protection/>
    </xf>
    <xf numFmtId="4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10" xfId="48" applyFont="1" applyFill="1" applyBorder="1" applyAlignment="1" applyProtection="1">
      <alignment horizontal="left" wrapText="1"/>
      <protection/>
    </xf>
    <xf numFmtId="10" fontId="6" fillId="33" borderId="10" xfId="48" applyNumberFormat="1" applyFont="1" applyFill="1" applyBorder="1" applyAlignment="1" applyProtection="1">
      <alignment horizontal="center"/>
      <protection locked="0"/>
    </xf>
    <xf numFmtId="0" fontId="6" fillId="0" borderId="10" xfId="48" applyFont="1" applyFill="1" applyBorder="1" applyAlignment="1" applyProtection="1">
      <alignment horizontal="left"/>
      <protection/>
    </xf>
    <xf numFmtId="0" fontId="8" fillId="0" borderId="10" xfId="48" applyFont="1" applyBorder="1" applyAlignment="1" applyProtection="1">
      <alignment horizontal="center"/>
      <protection/>
    </xf>
    <xf numFmtId="0" fontId="2" fillId="0" borderId="10" xfId="48" applyFont="1" applyBorder="1" applyAlignment="1" applyProtection="1">
      <alignment horizontal="left" vertical="center" wrapText="1"/>
      <protection/>
    </xf>
    <xf numFmtId="0" fontId="8" fillId="0" borderId="10" xfId="48" applyFont="1" applyBorder="1" applyAlignment="1" applyProtection="1">
      <alignment horizontal="center" vertical="center"/>
      <protection/>
    </xf>
    <xf numFmtId="0" fontId="2" fillId="0" borderId="10" xfId="48" applyFont="1" applyBorder="1" applyAlignment="1" applyProtection="1">
      <alignment horizontal="left" vertical="center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2" fontId="11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6" xfId="48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5" fillId="0" borderId="10" xfId="48" applyFont="1" applyBorder="1" applyAlignment="1" applyProtection="1">
      <alignment horizontal="center" vertical="center" wrapText="1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2" fillId="33" borderId="0" xfId="48" applyNumberFormat="1" applyFont="1" applyFill="1" applyBorder="1" applyAlignment="1" applyProtection="1">
      <alignment horizontal="left"/>
      <protection/>
    </xf>
    <xf numFmtId="171" fontId="2" fillId="33" borderId="0" xfId="48" applyNumberFormat="1" applyFont="1" applyFill="1" applyAlignment="1" applyProtection="1">
      <alignment horizontal="left"/>
      <protection locked="0"/>
    </xf>
    <xf numFmtId="0" fontId="2" fillId="0" borderId="0" xfId="48" applyFont="1" applyBorder="1" applyAlignment="1" applyProtection="1">
      <alignment horizontal="left" vertical="center"/>
      <protection/>
    </xf>
    <xf numFmtId="0" fontId="2" fillId="33" borderId="0" xfId="48" applyFont="1" applyFill="1" applyBorder="1" applyAlignment="1" applyProtection="1">
      <alignment horizontal="left"/>
      <protection/>
    </xf>
    <xf numFmtId="0" fontId="8" fillId="0" borderId="0" xfId="48" applyFont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Composicao BDI v2.1" xfId="46"/>
    <cellStyle name="Neutro" xfId="47"/>
    <cellStyle name="Normal 2" xfId="48"/>
    <cellStyle name="Normal_FICHA DE VERIFICAÇÃO PRELIMINAR - Plano R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4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tabSelected="1" view="pageBreakPreview" zoomScaleSheetLayoutView="100" zoomScalePageLayoutView="0" workbookViewId="0" topLeftCell="I19">
      <selection activeCell="P41" sqref="P41:R41"/>
    </sheetView>
  </sheetViews>
  <sheetFormatPr defaultColWidth="0" defaultRowHeight="12.75" customHeight="1" zeroHeight="1"/>
  <cols>
    <col min="1" max="1" width="30.28125" style="1" hidden="1" customWidth="1"/>
    <col min="2" max="3" width="9.140625" style="1" hidden="1" customWidth="1"/>
    <col min="4" max="4" width="23.57421875" style="1" hidden="1" customWidth="1"/>
    <col min="5" max="8" width="9.140625" style="1" hidden="1" customWidth="1"/>
    <col min="9" max="18" width="10.7109375" style="1" customWidth="1"/>
    <col min="19" max="19" width="4.421875" style="1" customWidth="1"/>
    <col min="20" max="21" width="9.140625" style="1" customWidth="1"/>
    <col min="22" max="16384" width="0" style="1" hidden="1" customWidth="1"/>
  </cols>
  <sheetData>
    <row r="1" spans="5:18" ht="15" customHeight="1">
      <c r="E1" s="2" t="s">
        <v>0</v>
      </c>
      <c r="F1" s="2" t="s">
        <v>1</v>
      </c>
      <c r="G1" s="2" t="s">
        <v>2</v>
      </c>
      <c r="N1" s="3"/>
      <c r="Q1" s="30" t="s">
        <v>3</v>
      </c>
      <c r="R1" s="31"/>
    </row>
    <row r="2" spans="1:18" ht="15.75">
      <c r="A2" s="1" t="s">
        <v>4</v>
      </c>
      <c r="B2" s="4" t="s">
        <v>5</v>
      </c>
      <c r="C2" s="1" t="str">
        <f aca="true" t="shared" si="0" ref="C2:C47">CONCATENATE(A2,"-",B2)</f>
        <v>Construção e Reforma de Edifícios-AC</v>
      </c>
      <c r="E2" s="5">
        <v>0.03</v>
      </c>
      <c r="F2" s="5">
        <v>0.04</v>
      </c>
      <c r="G2" s="5">
        <v>0.055</v>
      </c>
      <c r="N2" s="6"/>
      <c r="Q2" s="32" t="s">
        <v>6</v>
      </c>
      <c r="R2" s="33"/>
    </row>
    <row r="3" spans="1:7" ht="12.75">
      <c r="A3" s="1" t="str">
        <f>A2</f>
        <v>Construção e Reforma de Edifícios</v>
      </c>
      <c r="B3" s="4" t="s">
        <v>7</v>
      </c>
      <c r="C3" s="1" t="str">
        <f t="shared" si="0"/>
        <v>Construção e Reforma de Edifícios-SG</v>
      </c>
      <c r="E3" s="5">
        <v>0.008</v>
      </c>
      <c r="F3" s="5">
        <v>0.008</v>
      </c>
      <c r="G3" s="5">
        <v>0.01</v>
      </c>
    </row>
    <row r="4" spans="1:18" ht="12.75">
      <c r="A4" s="1" t="str">
        <f>A3</f>
        <v>Construção e Reforma de Edifícios</v>
      </c>
      <c r="B4" s="4" t="s">
        <v>8</v>
      </c>
      <c r="C4" s="1" t="str">
        <f t="shared" si="0"/>
        <v>Construção e Reforma de Edifícios-R</v>
      </c>
      <c r="E4" s="5">
        <v>0.0097</v>
      </c>
      <c r="F4" s="5">
        <v>0.0127</v>
      </c>
      <c r="G4" s="5">
        <v>0.0127</v>
      </c>
      <c r="I4" s="34" t="s">
        <v>9</v>
      </c>
      <c r="J4" s="35"/>
      <c r="K4" s="34" t="s">
        <v>10</v>
      </c>
      <c r="L4" s="36"/>
      <c r="M4" s="36"/>
      <c r="N4" s="36"/>
      <c r="O4" s="36"/>
      <c r="P4" s="36"/>
      <c r="Q4" s="36"/>
      <c r="R4" s="35"/>
    </row>
    <row r="5" spans="1:19" ht="12.75" customHeight="1">
      <c r="A5" s="1" t="str">
        <f>A4</f>
        <v>Construção e Reforma de Edifícios</v>
      </c>
      <c r="B5" s="4" t="s">
        <v>11</v>
      </c>
      <c r="C5" s="1" t="str">
        <f t="shared" si="0"/>
        <v>Construção e Reforma de Edifícios-DF</v>
      </c>
      <c r="E5" s="5">
        <v>0.0059</v>
      </c>
      <c r="F5" s="5">
        <v>0.0123</v>
      </c>
      <c r="G5" s="5">
        <v>0.0139</v>
      </c>
      <c r="I5" s="42"/>
      <c r="J5" s="43"/>
      <c r="K5" s="44" t="s">
        <v>57</v>
      </c>
      <c r="L5" s="45"/>
      <c r="M5" s="45"/>
      <c r="N5" s="45"/>
      <c r="O5" s="45"/>
      <c r="P5" s="45"/>
      <c r="Q5" s="45"/>
      <c r="R5" s="46"/>
      <c r="S5" s="7"/>
    </row>
    <row r="6" spans="1:18" ht="6" customHeight="1">
      <c r="A6" s="1" t="str">
        <f>A5</f>
        <v>Construção e Reforma de Edifícios</v>
      </c>
      <c r="B6" s="4" t="s">
        <v>12</v>
      </c>
      <c r="C6" s="1" t="str">
        <f t="shared" si="0"/>
        <v>Construção e Reforma de Edifícios-L</v>
      </c>
      <c r="E6" s="5">
        <v>0.0616</v>
      </c>
      <c r="F6" s="5">
        <v>0.07400000000000001</v>
      </c>
      <c r="G6" s="5">
        <v>0.08960000000000001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customHeight="1">
      <c r="A7" s="1" t="str">
        <f>A6</f>
        <v>Construção e Reforma de Edifícios</v>
      </c>
      <c r="B7" s="9" t="s">
        <v>13</v>
      </c>
      <c r="C7" s="1" t="str">
        <f t="shared" si="0"/>
        <v>Construção e Reforma de Edifícios-BDI PAD</v>
      </c>
      <c r="E7" s="5">
        <v>0.2034</v>
      </c>
      <c r="F7" s="5">
        <v>0.2212</v>
      </c>
      <c r="G7" s="5">
        <v>0.25</v>
      </c>
      <c r="I7" s="34" t="s">
        <v>14</v>
      </c>
      <c r="J7" s="36"/>
      <c r="K7" s="36"/>
      <c r="L7" s="36"/>
      <c r="M7" s="36"/>
      <c r="N7" s="36"/>
      <c r="O7" s="36"/>
      <c r="P7" s="36"/>
      <c r="Q7" s="36"/>
      <c r="R7" s="35"/>
    </row>
    <row r="8" spans="1:18" ht="24.75" customHeight="1">
      <c r="A8" s="1" t="s">
        <v>15</v>
      </c>
      <c r="B8" s="4" t="s">
        <v>5</v>
      </c>
      <c r="C8" s="1" t="str">
        <f t="shared" si="0"/>
        <v>Construção de Praças Urbanas, Rodovias, Ferrovias e recapeamento e pavimentação de vias urbanas-AC</v>
      </c>
      <c r="E8" s="5">
        <v>0.038</v>
      </c>
      <c r="F8" s="5">
        <v>0.0401</v>
      </c>
      <c r="G8" s="5">
        <v>0.0467</v>
      </c>
      <c r="I8" s="44" t="s">
        <v>63</v>
      </c>
      <c r="J8" s="47"/>
      <c r="K8" s="47"/>
      <c r="L8" s="47"/>
      <c r="M8" s="47"/>
      <c r="N8" s="47"/>
      <c r="O8" s="47"/>
      <c r="P8" s="47"/>
      <c r="Q8" s="47"/>
      <c r="R8" s="48"/>
    </row>
    <row r="9" spans="1:18" ht="6" customHeight="1">
      <c r="A9" s="1" t="s">
        <v>15</v>
      </c>
      <c r="B9" s="4" t="s">
        <v>7</v>
      </c>
      <c r="C9" s="1" t="str">
        <f t="shared" si="0"/>
        <v>Construção de Praças Urbanas, Rodovias, Ferrovias e recapeamento e pavimentação de vias urbanas-SG</v>
      </c>
      <c r="E9" s="5">
        <v>0.0032</v>
      </c>
      <c r="F9" s="5">
        <v>0.004</v>
      </c>
      <c r="G9" s="5">
        <v>0.0074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" t="s">
        <v>15</v>
      </c>
      <c r="B10" s="4" t="s">
        <v>8</v>
      </c>
      <c r="C10" s="1" t="str">
        <f t="shared" si="0"/>
        <v>Construção de Praças Urbanas, Rodovias, Ferrovias e recapeamento e pavimentação de vias urbanas-R</v>
      </c>
      <c r="E10" s="5">
        <v>0.005</v>
      </c>
      <c r="F10" s="5">
        <v>0.005600000000000001</v>
      </c>
      <c r="G10" s="5">
        <v>0.0097</v>
      </c>
      <c r="I10" s="34" t="s">
        <v>16</v>
      </c>
      <c r="J10" s="36"/>
      <c r="K10" s="36"/>
      <c r="L10" s="36"/>
      <c r="M10" s="36"/>
      <c r="N10" s="36"/>
      <c r="O10" s="36"/>
      <c r="P10" s="36"/>
      <c r="Q10" s="34" t="s">
        <v>17</v>
      </c>
      <c r="R10" s="35"/>
    </row>
    <row r="11" spans="1:18" ht="12.75">
      <c r="A11" s="1" t="s">
        <v>15</v>
      </c>
      <c r="B11" s="4" t="s">
        <v>11</v>
      </c>
      <c r="C11" s="1" t="str">
        <f t="shared" si="0"/>
        <v>Construção de Praças Urbanas, Rodovias, Ferrovias e recapeamento e pavimentação de vias urbanas-DF</v>
      </c>
      <c r="E11" s="5">
        <v>0.0102</v>
      </c>
      <c r="F11" s="5">
        <v>0.0111</v>
      </c>
      <c r="G11" s="5">
        <v>0.0121</v>
      </c>
      <c r="I11" s="37" t="s">
        <v>15</v>
      </c>
      <c r="J11" s="38"/>
      <c r="K11" s="38"/>
      <c r="L11" s="38"/>
      <c r="M11" s="38"/>
      <c r="N11" s="38"/>
      <c r="O11" s="38"/>
      <c r="P11" s="39"/>
      <c r="Q11" s="40" t="s">
        <v>58</v>
      </c>
      <c r="R11" s="41"/>
    </row>
    <row r="12" spans="1:7" ht="12.75">
      <c r="A12" s="1" t="s">
        <v>15</v>
      </c>
      <c r="B12" s="4" t="s">
        <v>12</v>
      </c>
      <c r="C12" s="1" t="str">
        <f t="shared" si="0"/>
        <v>Construção de Praças Urbanas, Rodovias, Ferrovias e recapeamento e pavimentação de vias urbanas-L</v>
      </c>
      <c r="E12" s="5">
        <v>0.0664</v>
      </c>
      <c r="F12" s="5">
        <v>0.073</v>
      </c>
      <c r="G12" s="5">
        <v>0.08689999999999999</v>
      </c>
    </row>
    <row r="13" spans="1:18" ht="15" customHeight="1">
      <c r="A13" s="1" t="s">
        <v>15</v>
      </c>
      <c r="B13" s="9" t="s">
        <v>13</v>
      </c>
      <c r="C13" s="1" t="str">
        <f t="shared" si="0"/>
        <v>Construção de Praças Urbanas, Rodovias, Ferrovias e recapeamento e pavimentação de vias urbanas-BDI PAD</v>
      </c>
      <c r="E13" s="5">
        <v>0.196</v>
      </c>
      <c r="F13" s="5">
        <v>0.2097</v>
      </c>
      <c r="G13" s="5">
        <v>0.24230000000000002</v>
      </c>
      <c r="I13" s="50" t="s">
        <v>18</v>
      </c>
      <c r="J13" s="50"/>
      <c r="K13" s="50"/>
      <c r="L13" s="50"/>
      <c r="M13" s="50"/>
      <c r="N13" s="50"/>
      <c r="O13" s="50"/>
      <c r="P13" s="50"/>
      <c r="Q13" s="51">
        <v>0.05</v>
      </c>
      <c r="R13" s="51"/>
    </row>
    <row r="14" spans="1:18" ht="15" customHeight="1">
      <c r="A14" s="1" t="s">
        <v>19</v>
      </c>
      <c r="B14" s="4" t="s">
        <v>5</v>
      </c>
      <c r="C14" s="1" t="str">
        <f t="shared" si="0"/>
        <v>Construção de Redes de Abastecimento de Água, Coleta de Esgoto-AC</v>
      </c>
      <c r="E14" s="5">
        <v>0.034300000000000004</v>
      </c>
      <c r="F14" s="5">
        <v>0.0493</v>
      </c>
      <c r="G14" s="5">
        <v>0.06709999999999999</v>
      </c>
      <c r="I14" s="52" t="s">
        <v>20</v>
      </c>
      <c r="J14" s="52"/>
      <c r="K14" s="52"/>
      <c r="L14" s="52"/>
      <c r="M14" s="52"/>
      <c r="N14" s="52"/>
      <c r="O14" s="52"/>
      <c r="P14" s="52"/>
      <c r="Q14" s="51">
        <v>1</v>
      </c>
      <c r="R14" s="51"/>
    </row>
    <row r="15" spans="1:7" ht="12.75">
      <c r="A15" s="1" t="str">
        <f>A14</f>
        <v>Construção de Redes de Abastecimento de Água, Coleta de Esgoto</v>
      </c>
      <c r="B15" s="4" t="s">
        <v>7</v>
      </c>
      <c r="C15" s="1" t="str">
        <f t="shared" si="0"/>
        <v>Construção de Redes de Abastecimento de Água, Coleta de Esgoto-SG</v>
      </c>
      <c r="E15" s="5">
        <v>0.0028000000000000004</v>
      </c>
      <c r="F15" s="5">
        <v>0.0049</v>
      </c>
      <c r="G15" s="5">
        <v>0.0075</v>
      </c>
    </row>
    <row r="16" spans="2:18" ht="13.5">
      <c r="B16" s="4"/>
      <c r="E16" s="5"/>
      <c r="F16" s="5"/>
      <c r="G16" s="5"/>
      <c r="I16" s="55" t="s">
        <v>21</v>
      </c>
      <c r="J16" s="55"/>
      <c r="K16" s="55"/>
      <c r="L16" s="55"/>
      <c r="M16" s="55" t="s">
        <v>22</v>
      </c>
      <c r="N16" s="49" t="s">
        <v>23</v>
      </c>
      <c r="O16" s="49" t="s">
        <v>24</v>
      </c>
      <c r="P16" s="53" t="s">
        <v>25</v>
      </c>
      <c r="Q16" s="53"/>
      <c r="R16" s="53"/>
    </row>
    <row r="17" spans="1:18" ht="13.5">
      <c r="A17" s="1" t="str">
        <f>A15</f>
        <v>Construção de Redes de Abastecimento de Água, Coleta de Esgoto</v>
      </c>
      <c r="B17" s="4" t="s">
        <v>8</v>
      </c>
      <c r="C17" s="1" t="str">
        <f t="shared" si="0"/>
        <v>Construção de Redes de Abastecimento de Água, Coleta de Esgoto-R</v>
      </c>
      <c r="E17" s="5">
        <v>0.01</v>
      </c>
      <c r="F17" s="5">
        <v>0.0139</v>
      </c>
      <c r="G17" s="5">
        <v>0.0174</v>
      </c>
      <c r="I17" s="55"/>
      <c r="J17" s="55"/>
      <c r="K17" s="55"/>
      <c r="L17" s="55"/>
      <c r="M17" s="55"/>
      <c r="N17" s="49"/>
      <c r="O17" s="49"/>
      <c r="P17" s="10" t="s">
        <v>26</v>
      </c>
      <c r="Q17" s="10" t="s">
        <v>27</v>
      </c>
      <c r="R17" s="11" t="s">
        <v>28</v>
      </c>
    </row>
    <row r="18" spans="1:18" ht="30.75" customHeight="1">
      <c r="A18" s="1" t="str">
        <f>A17</f>
        <v>Construção de Redes de Abastecimento de Água, Coleta de Esgoto</v>
      </c>
      <c r="B18" s="4" t="s">
        <v>11</v>
      </c>
      <c r="C18" s="1" t="str">
        <f t="shared" si="0"/>
        <v>Construção de Redes de Abastecimento de Água, Coleta de Esgoto-DF</v>
      </c>
      <c r="E18" s="5">
        <v>0.009399999999999999</v>
      </c>
      <c r="F18" s="5">
        <v>0.009899999999999999</v>
      </c>
      <c r="G18" s="5">
        <v>0.011699999999999999</v>
      </c>
      <c r="I18" s="54" t="str">
        <f>IF($I$11=$A$56,"Encargos Sociais incidentes sobre a mão de obra","Administração Central")</f>
        <v>Administração Central</v>
      </c>
      <c r="J18" s="54"/>
      <c r="K18" s="54"/>
      <c r="L18" s="54"/>
      <c r="M18" s="12" t="str">
        <f>IF($I$11=$A$56,"K1","AC")</f>
        <v>AC</v>
      </c>
      <c r="N18" s="13">
        <v>0.038</v>
      </c>
      <c r="O18" s="14" t="s">
        <v>29</v>
      </c>
      <c r="P18" s="15">
        <f>VLOOKUP(CONCATENATE(I$11,"-",M18),$C$2:$G$47,3,FALSE)</f>
        <v>0.038</v>
      </c>
      <c r="Q18" s="15">
        <f>VLOOKUP(CONCATENATE(I$11,"-",M18),$C$2:$G$47,4,FALSE)</f>
        <v>0.0401</v>
      </c>
      <c r="R18" s="15">
        <f>VLOOKUP(CONCATENATE(I$11,"-",M18),$C$2:$G$47,5,FALSE)</f>
        <v>0.0467</v>
      </c>
    </row>
    <row r="19" spans="1:18" ht="30.75" customHeight="1">
      <c r="A19" s="1" t="str">
        <f>A18</f>
        <v>Construção de Redes de Abastecimento de Água, Coleta de Esgoto</v>
      </c>
      <c r="B19" s="4" t="s">
        <v>12</v>
      </c>
      <c r="C19" s="1" t="str">
        <f t="shared" si="0"/>
        <v>Construção de Redes de Abastecimento de Água, Coleta de Esgoto-L</v>
      </c>
      <c r="E19" s="5">
        <v>0.0674</v>
      </c>
      <c r="F19" s="5">
        <v>0.08039999999999999</v>
      </c>
      <c r="G19" s="5">
        <v>0.094</v>
      </c>
      <c r="I19" s="54" t="str">
        <f>IF($I$11=$A$56,"Administração Central da empresa ou consultoria - overhead","Seguro e Garantia")</f>
        <v>Seguro e Garantia</v>
      </c>
      <c r="J19" s="54"/>
      <c r="K19" s="54"/>
      <c r="L19" s="54"/>
      <c r="M19" s="12" t="str">
        <f>IF($I$11=$A$56,"K2","SG")</f>
        <v>SG</v>
      </c>
      <c r="N19" s="13">
        <v>0.0032</v>
      </c>
      <c r="O19" s="14" t="s">
        <v>29</v>
      </c>
      <c r="P19" s="15">
        <f>VLOOKUP(CONCATENATE(I$11,"-",M19),$C$2:$G$47,3,FALSE)</f>
        <v>0.0032</v>
      </c>
      <c r="Q19" s="15">
        <f>VLOOKUP(CONCATENATE(I$11,"-",M19),$C$2:$G$47,4,FALSE)</f>
        <v>0.004</v>
      </c>
      <c r="R19" s="15">
        <f>VLOOKUP(CONCATENATE(I$11,"-",M19),$C$2:$G$47,5,FALSE)</f>
        <v>0.0074</v>
      </c>
    </row>
    <row r="20" spans="1:18" ht="30.75" customHeight="1">
      <c r="A20" s="1" t="str">
        <f>A19</f>
        <v>Construção de Redes de Abastecimento de Água, Coleta de Esgoto</v>
      </c>
      <c r="B20" s="9" t="s">
        <v>13</v>
      </c>
      <c r="C20" s="1" t="str">
        <f t="shared" si="0"/>
        <v>Construção de Redes de Abastecimento de Água, Coleta de Esgoto-BDI PAD</v>
      </c>
      <c r="E20" s="5">
        <v>0.2076</v>
      </c>
      <c r="F20" s="5">
        <v>0.2418</v>
      </c>
      <c r="G20" s="5">
        <v>0.2644</v>
      </c>
      <c r="I20" s="54" t="str">
        <f>IF($I$11=$A$56,"","Risco")</f>
        <v>Risco</v>
      </c>
      <c r="J20" s="54"/>
      <c r="K20" s="54"/>
      <c r="L20" s="54"/>
      <c r="M20" s="12" t="str">
        <f>IF($I$11=$A$56,"","R")</f>
        <v>R</v>
      </c>
      <c r="N20" s="13">
        <v>0.005</v>
      </c>
      <c r="O20" s="14" t="s">
        <v>29</v>
      </c>
      <c r="P20" s="15">
        <f>VLOOKUP(CONCATENATE(I$11,"-",M20),$C$2:$G$47,3,FALSE)</f>
        <v>0.005</v>
      </c>
      <c r="Q20" s="15">
        <f>VLOOKUP(CONCATENATE(I$11,"-",M20),$C$2:$G$47,4,FALSE)</f>
        <v>0.005600000000000001</v>
      </c>
      <c r="R20" s="15">
        <f>VLOOKUP(CONCATENATE(I$11,"-",M20),$C$2:$G$47,5,FALSE)</f>
        <v>0.0097</v>
      </c>
    </row>
    <row r="21" spans="1:18" ht="30.75" customHeight="1">
      <c r="A21" s="1" t="s">
        <v>30</v>
      </c>
      <c r="B21" s="4" t="s">
        <v>5</v>
      </c>
      <c r="C21" s="1" t="str">
        <f t="shared" si="0"/>
        <v>Construção e Manutenção de Estações e Redes de Distribuição de Energia Elétrica-AC</v>
      </c>
      <c r="E21" s="5">
        <v>0.0529</v>
      </c>
      <c r="F21" s="5">
        <v>0.0592</v>
      </c>
      <c r="G21" s="5">
        <v>0.0793</v>
      </c>
      <c r="I21" s="54" t="str">
        <f>IF($I$11=$A$56,"","Despesas Financeiras")</f>
        <v>Despesas Financeiras</v>
      </c>
      <c r="J21" s="54"/>
      <c r="K21" s="54"/>
      <c r="L21" s="54"/>
      <c r="M21" s="12" t="str">
        <f>IF($I$11=$A$56,"","DF")</f>
        <v>DF</v>
      </c>
      <c r="N21" s="13">
        <v>0.0102</v>
      </c>
      <c r="O21" s="14" t="s">
        <v>29</v>
      </c>
      <c r="P21" s="15">
        <f>VLOOKUP(CONCATENATE(I$11,"-",M21),$C$2:$G$47,3,FALSE)</f>
        <v>0.0102</v>
      </c>
      <c r="Q21" s="15">
        <f>VLOOKUP(CONCATENATE(I$11,"-",M21),$C$2:$G$47,4,FALSE)</f>
        <v>0.0111</v>
      </c>
      <c r="R21" s="15">
        <f>VLOOKUP(CONCATENATE(I$11,"-",M21),$C$2:$G$47,5,FALSE)</f>
        <v>0.0121</v>
      </c>
    </row>
    <row r="22" spans="1:18" ht="30.75" customHeight="1">
      <c r="A22" s="1" t="str">
        <f>A21</f>
        <v>Construção e Manutenção de Estações e Redes de Distribuição de Energia Elétrica</v>
      </c>
      <c r="B22" s="4" t="s">
        <v>7</v>
      </c>
      <c r="C22" s="1" t="str">
        <f t="shared" si="0"/>
        <v>Construção e Manutenção de Estações e Redes de Distribuição de Energia Elétrica-SG</v>
      </c>
      <c r="E22" s="5">
        <v>0.0025</v>
      </c>
      <c r="F22" s="5">
        <v>0.0051</v>
      </c>
      <c r="G22" s="5">
        <v>0.005600000000000001</v>
      </c>
      <c r="I22" s="54" t="str">
        <f>IF($I$11=$A$56,"Margem bruta da empresa de consultoria","Lucro")</f>
        <v>Lucro</v>
      </c>
      <c r="J22" s="54"/>
      <c r="K22" s="54"/>
      <c r="L22" s="54"/>
      <c r="M22" s="12" t="str">
        <f>IF($I$11=$A$56,"K3","L")</f>
        <v>L</v>
      </c>
      <c r="N22" s="13">
        <v>0.0664</v>
      </c>
      <c r="O22" s="14" t="s">
        <v>29</v>
      </c>
      <c r="P22" s="15">
        <f>VLOOKUP(CONCATENATE(I$11,"-",M22),$C$2:$G$47,3,FALSE)</f>
        <v>0.0664</v>
      </c>
      <c r="Q22" s="15">
        <f>VLOOKUP(CONCATENATE(I$11,"-",M22),$C$2:$G$47,4,FALSE)</f>
        <v>0.073</v>
      </c>
      <c r="R22" s="15">
        <f>VLOOKUP(CONCATENATE(I$11,"-",M22),$C$2:$G$47,5,FALSE)</f>
        <v>0.08689999999999999</v>
      </c>
    </row>
    <row r="23" spans="1:18" ht="30.75" customHeight="1">
      <c r="A23" s="1" t="str">
        <f>A22</f>
        <v>Construção e Manutenção de Estações e Redes de Distribuição de Energia Elétrica</v>
      </c>
      <c r="B23" s="4" t="s">
        <v>8</v>
      </c>
      <c r="C23" s="1" t="str">
        <f t="shared" si="0"/>
        <v>Construção e Manutenção de Estações e Redes de Distribuição de Energia Elétrica-R</v>
      </c>
      <c r="E23" s="5">
        <v>0.01</v>
      </c>
      <c r="F23" s="5">
        <v>0.0148</v>
      </c>
      <c r="G23" s="5">
        <v>0.0197</v>
      </c>
      <c r="I23" s="56" t="s">
        <v>31</v>
      </c>
      <c r="J23" s="56"/>
      <c r="K23" s="56"/>
      <c r="L23" s="56"/>
      <c r="M23" s="12" t="s">
        <v>32</v>
      </c>
      <c r="N23" s="13">
        <v>0.0365</v>
      </c>
      <c r="O23" s="14" t="s">
        <v>29</v>
      </c>
      <c r="P23" s="15">
        <v>0.0365</v>
      </c>
      <c r="Q23" s="15">
        <v>0.0365</v>
      </c>
      <c r="R23" s="15">
        <v>0.0365</v>
      </c>
    </row>
    <row r="24" spans="1:18" ht="30.75" customHeight="1">
      <c r="A24" s="1" t="str">
        <f>A23</f>
        <v>Construção e Manutenção de Estações e Redes de Distribuição de Energia Elétrica</v>
      </c>
      <c r="B24" s="4" t="s">
        <v>11</v>
      </c>
      <c r="C24" s="1" t="str">
        <f t="shared" si="0"/>
        <v>Construção e Manutenção de Estações e Redes de Distribuição de Energia Elétrica-DF</v>
      </c>
      <c r="E24" s="5">
        <v>0.0101</v>
      </c>
      <c r="F24" s="5">
        <v>0.010700000000000001</v>
      </c>
      <c r="G24" s="5">
        <v>0.0111</v>
      </c>
      <c r="I24" s="54" t="s">
        <v>33</v>
      </c>
      <c r="J24" s="54"/>
      <c r="K24" s="54"/>
      <c r="L24" s="54"/>
      <c r="M24" s="12" t="s">
        <v>34</v>
      </c>
      <c r="N24" s="15">
        <f>IF(I11&lt;&gt;A55,Q14*Q13,0)</f>
        <v>0.05</v>
      </c>
      <c r="O24" s="14" t="s">
        <v>29</v>
      </c>
      <c r="P24" s="15">
        <v>0</v>
      </c>
      <c r="Q24" s="15">
        <v>0.025</v>
      </c>
      <c r="R24" s="15">
        <v>0.05</v>
      </c>
    </row>
    <row r="25" spans="1:18" ht="30.75" customHeight="1">
      <c r="A25" s="1" t="str">
        <f>A24</f>
        <v>Construção e Manutenção de Estações e Redes de Distribuição de Energia Elétrica</v>
      </c>
      <c r="B25" s="4" t="s">
        <v>12</v>
      </c>
      <c r="C25" s="1" t="str">
        <f t="shared" si="0"/>
        <v>Construção e Manutenção de Estações e Redes de Distribuição de Energia Elétrica-L</v>
      </c>
      <c r="E25" s="5">
        <v>0.08</v>
      </c>
      <c r="F25" s="5">
        <v>0.08310000000000001</v>
      </c>
      <c r="G25" s="5">
        <v>0.0951</v>
      </c>
      <c r="I25" s="54" t="s">
        <v>35</v>
      </c>
      <c r="J25" s="54"/>
      <c r="K25" s="54"/>
      <c r="L25" s="54"/>
      <c r="M25" s="12" t="s">
        <v>36</v>
      </c>
      <c r="N25" s="15">
        <f>IF(Q11="Sim",4.5%,0%)</f>
        <v>0.045</v>
      </c>
      <c r="O25" s="14" t="str">
        <f>IF(AND(N25&gt;=P25,N25&lt;=R25),"OK","Não OK")</f>
        <v>OK</v>
      </c>
      <c r="P25" s="16">
        <v>0</v>
      </c>
      <c r="Q25" s="16">
        <v>0.045</v>
      </c>
      <c r="R25" s="16">
        <v>0.045</v>
      </c>
    </row>
    <row r="26" spans="1:18" ht="30.75" customHeight="1">
      <c r="A26" s="1" t="str">
        <f>A25</f>
        <v>Construção e Manutenção de Estações e Redes de Distribuição de Energia Elétrica</v>
      </c>
      <c r="B26" s="9" t="s">
        <v>13</v>
      </c>
      <c r="C26" s="1" t="str">
        <f t="shared" si="0"/>
        <v>Construção e Manutenção de Estações e Redes de Distribuição de Energia Elétrica-BDI PAD</v>
      </c>
      <c r="E26" s="5">
        <v>0.24</v>
      </c>
      <c r="F26" s="5">
        <v>0.2584</v>
      </c>
      <c r="G26" s="5">
        <v>0.2786</v>
      </c>
      <c r="I26" s="54" t="s">
        <v>37</v>
      </c>
      <c r="J26" s="54"/>
      <c r="K26" s="54"/>
      <c r="L26" s="54"/>
      <c r="M26" s="17" t="s">
        <v>13</v>
      </c>
      <c r="N26" s="15">
        <f>ROUND((((1+N18+N19+N20)*(1+N21)*(1+N22)/(1-(N23+N24)))-1),4)</f>
        <v>0.2338</v>
      </c>
      <c r="O26" s="14" t="str">
        <f>IF(OR($I$11=$A$56,AND(N26&gt;=P26,N26&lt;=R26)),"OK","NÃO OK")</f>
        <v>OK</v>
      </c>
      <c r="P26" s="15">
        <f>VLOOKUP(CONCATENATE($I$11,"-",$M26),$C$2:$G$47,3,FALSE)</f>
        <v>0.196</v>
      </c>
      <c r="Q26" s="15">
        <f>VLOOKUP(CONCATENATE($I$11,"-",$M26),$C$2:$G$47,4,FALSE)</f>
        <v>0.2097</v>
      </c>
      <c r="R26" s="15">
        <f>VLOOKUP(CONCATENATE($I$11,"-",$M26),$C$2:$G$47,5,FALSE)</f>
        <v>0.24230000000000002</v>
      </c>
    </row>
    <row r="27" spans="1:18" ht="30" customHeight="1">
      <c r="A27" s="1" t="s">
        <v>38</v>
      </c>
      <c r="B27" s="4" t="s">
        <v>5</v>
      </c>
      <c r="C27" s="1" t="str">
        <f t="shared" si="0"/>
        <v>Obras Portuárias, Marítimas e Fluviais-AC</v>
      </c>
      <c r="E27" s="5">
        <v>0.04</v>
      </c>
      <c r="F27" s="5">
        <v>0.0552</v>
      </c>
      <c r="G27" s="5">
        <v>0.0785</v>
      </c>
      <c r="I27" s="57" t="s">
        <v>39</v>
      </c>
      <c r="J27" s="57"/>
      <c r="K27" s="57"/>
      <c r="L27" s="57"/>
      <c r="M27" s="18" t="s">
        <v>40</v>
      </c>
      <c r="N27" s="19">
        <f>ROUND((((1+N18+N19+N20)*(1+N21)*(1+N22)/(1-(N23+N24+N25)))-1),4)</f>
        <v>0.2977</v>
      </c>
      <c r="O27" s="20" t="str">
        <f>IF(Q11&lt;&gt;"Sim","",IF(COUNTIF($O$18:$O$26,"NÃO OK")&gt;0,"NÃO OK","OK"))</f>
        <v>OK</v>
      </c>
      <c r="P27" s="58"/>
      <c r="Q27" s="58"/>
      <c r="R27" s="58"/>
    </row>
    <row r="28" spans="1:7" ht="12.75">
      <c r="A28" s="1" t="str">
        <f>A27</f>
        <v>Obras Portuárias, Marítimas e Fluviais</v>
      </c>
      <c r="B28" s="4" t="s">
        <v>7</v>
      </c>
      <c r="C28" s="1" t="str">
        <f t="shared" si="0"/>
        <v>Obras Portuárias, Marítimas e Fluviais-SG</v>
      </c>
      <c r="E28" s="5">
        <v>0.008100000000000001</v>
      </c>
      <c r="F28" s="5">
        <v>0.012199999999999999</v>
      </c>
      <c r="G28" s="5">
        <v>0.0199</v>
      </c>
    </row>
    <row r="29" spans="1:18" ht="27.75" customHeight="1">
      <c r="A29" s="1" t="str">
        <f>A28</f>
        <v>Obras Portuárias, Marítimas e Fluviais</v>
      </c>
      <c r="B29" s="4" t="s">
        <v>8</v>
      </c>
      <c r="C29" s="1" t="str">
        <f t="shared" si="0"/>
        <v>Obras Portuárias, Marítimas e Fluviais-R</v>
      </c>
      <c r="E29" s="5">
        <v>0.0146</v>
      </c>
      <c r="F29" s="5">
        <v>0.0232</v>
      </c>
      <c r="G29" s="5">
        <v>0.0316</v>
      </c>
      <c r="I29" s="66" t="s">
        <v>41</v>
      </c>
      <c r="J29" s="66"/>
      <c r="K29" s="66"/>
      <c r="L29" s="66"/>
      <c r="M29" s="66"/>
      <c r="N29" s="66"/>
      <c r="O29" s="66"/>
      <c r="P29" s="66"/>
      <c r="Q29" s="66"/>
      <c r="R29" s="66"/>
    </row>
    <row r="30" spans="2:18" ht="27.75" customHeight="1">
      <c r="B30" s="4"/>
      <c r="E30" s="5"/>
      <c r="F30" s="5"/>
      <c r="G30" s="5"/>
      <c r="I30" s="21"/>
      <c r="J30" s="21"/>
      <c r="K30" s="21"/>
      <c r="L30" s="60" t="str">
        <f>IF(Q11="Sim","BDI.DES =","BDI.PAD =")</f>
        <v>BDI.DES =</v>
      </c>
      <c r="M30" s="61" t="str">
        <f>IF($I$11=$A$56,"(1+K1+K2)*(1+K3)","(1+AC + S + R + G)*(1 + DF)*(1+L)")</f>
        <v>(1+AC + S + R + G)*(1 + DF)*(1+L)</v>
      </c>
      <c r="N30" s="61"/>
      <c r="O30" s="61"/>
      <c r="P30" s="62" t="s">
        <v>42</v>
      </c>
      <c r="Q30" s="21"/>
      <c r="R30" s="21"/>
    </row>
    <row r="31" spans="2:18" ht="27.75" customHeight="1">
      <c r="B31" s="4"/>
      <c r="E31" s="5"/>
      <c r="F31" s="5"/>
      <c r="G31" s="5"/>
      <c r="I31" s="21"/>
      <c r="J31" s="21"/>
      <c r="K31" s="21"/>
      <c r="L31" s="60"/>
      <c r="M31" s="64" t="str">
        <f>IF(Q11="Sim","(1-CP-ISS-CRPB)","(1-CP-ISS)")</f>
        <v>(1-CP-ISS-CRPB)</v>
      </c>
      <c r="N31" s="64"/>
      <c r="O31" s="64"/>
      <c r="P31" s="63"/>
      <c r="Q31" s="21"/>
      <c r="R31" s="21"/>
    </row>
    <row r="32" spans="1:18" ht="19.5" customHeight="1">
      <c r="A32" s="1" t="str">
        <f>A29</f>
        <v>Obras Portuárias, Marítimas e Fluviais</v>
      </c>
      <c r="B32" s="4" t="s">
        <v>11</v>
      </c>
      <c r="C32" s="1" t="str">
        <f t="shared" si="0"/>
        <v>Obras Portuárias, Marítimas e Fluviais-DF</v>
      </c>
      <c r="E32" s="5">
        <v>0.009399999999999999</v>
      </c>
      <c r="F32" s="5">
        <v>0.0102</v>
      </c>
      <c r="G32" s="5">
        <v>0.013300000000000001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9.5" customHeight="1">
      <c r="A33" s="1" t="str">
        <f>A32</f>
        <v>Obras Portuárias, Marítimas e Fluviais</v>
      </c>
      <c r="B33" s="4" t="s">
        <v>12</v>
      </c>
      <c r="C33" s="1" t="str">
        <f t="shared" si="0"/>
        <v>Obras Portuárias, Marítimas e Fluviais-L</v>
      </c>
      <c r="E33" s="5">
        <v>0.07139999999999999</v>
      </c>
      <c r="F33" s="5">
        <v>0.084</v>
      </c>
      <c r="G33" s="5">
        <v>0.1043</v>
      </c>
      <c r="I33" s="65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5%, com a respectiva alíquota de 100%.</v>
      </c>
      <c r="J33" s="65"/>
      <c r="K33" s="65"/>
      <c r="L33" s="65"/>
      <c r="M33" s="65"/>
      <c r="N33" s="65"/>
      <c r="O33" s="65"/>
      <c r="P33" s="65"/>
      <c r="Q33" s="65"/>
      <c r="R33" s="65"/>
    </row>
    <row r="34" spans="1:7" ht="22.5" customHeight="1">
      <c r="A34" s="1" t="str">
        <f>A33</f>
        <v>Obras Portuárias, Marítimas e Fluviais</v>
      </c>
      <c r="B34" s="9" t="s">
        <v>13</v>
      </c>
      <c r="C34" s="1" t="str">
        <f t="shared" si="0"/>
        <v>Obras Portuárias, Marítimas e Fluviais-BDI PAD</v>
      </c>
      <c r="E34" s="5">
        <v>0.228</v>
      </c>
      <c r="F34" s="5">
        <v>0.2748</v>
      </c>
      <c r="G34" s="5">
        <v>0.3095</v>
      </c>
    </row>
    <row r="35" spans="2:7" ht="12.75">
      <c r="B35" s="9"/>
      <c r="E35" s="5"/>
      <c r="F35" s="5"/>
      <c r="G35" s="5"/>
    </row>
    <row r="36" spans="1:16" ht="12.75">
      <c r="A36" s="1" t="s">
        <v>43</v>
      </c>
      <c r="B36" s="4" t="s">
        <v>5</v>
      </c>
      <c r="C36" s="1" t="str">
        <f t="shared" si="0"/>
        <v>Fornecimento de Materiais e Equipamentos-AC</v>
      </c>
      <c r="E36" s="5">
        <v>0.015</v>
      </c>
      <c r="F36" s="5">
        <v>0.0345</v>
      </c>
      <c r="G36" s="5">
        <v>0.0449</v>
      </c>
      <c r="I36" s="69" t="s">
        <v>44</v>
      </c>
      <c r="J36" s="69"/>
      <c r="K36" s="69"/>
      <c r="L36" s="69"/>
      <c r="P36" s="29" t="s">
        <v>45</v>
      </c>
    </row>
    <row r="37" spans="1:18" ht="12.75">
      <c r="A37" s="1" t="str">
        <f>A36</f>
        <v>Fornecimento de Materiais e Equipamentos</v>
      </c>
      <c r="B37" s="4" t="s">
        <v>7</v>
      </c>
      <c r="C37" s="1" t="str">
        <f t="shared" si="0"/>
        <v>Fornecimento de Materiais e Equipamentos-SG</v>
      </c>
      <c r="E37" s="5">
        <v>0.003</v>
      </c>
      <c r="F37" s="5">
        <v>0.0048</v>
      </c>
      <c r="G37" s="5">
        <v>0.008199999999999999</v>
      </c>
      <c r="I37" s="70" t="s">
        <v>59</v>
      </c>
      <c r="J37" s="70"/>
      <c r="K37" s="70"/>
      <c r="L37" s="70"/>
      <c r="N37" s="23"/>
      <c r="P37" s="68" t="s">
        <v>64</v>
      </c>
      <c r="Q37" s="68"/>
      <c r="R37" s="68"/>
    </row>
    <row r="38" spans="1:7" ht="12.75">
      <c r="A38" s="1" t="str">
        <f>A37</f>
        <v>Fornecimento de Materiais e Equipamentos</v>
      </c>
      <c r="B38" s="4" t="s">
        <v>8</v>
      </c>
      <c r="C38" s="1" t="str">
        <f t="shared" si="0"/>
        <v>Fornecimento de Materiais e Equipamentos-R</v>
      </c>
      <c r="E38" s="5">
        <v>0.005600000000000001</v>
      </c>
      <c r="F38" s="5">
        <v>0.0085</v>
      </c>
      <c r="G38" s="5">
        <v>0.0089</v>
      </c>
    </row>
    <row r="39" spans="1:18" ht="31.5" customHeight="1">
      <c r="A39" s="1" t="str">
        <f>A38</f>
        <v>Fornecimento de Materiais e Equipamentos</v>
      </c>
      <c r="B39" s="4" t="s">
        <v>11</v>
      </c>
      <c r="C39" s="1" t="str">
        <f t="shared" si="0"/>
        <v>Fornecimento de Materiais e Equipamentos-DF</v>
      </c>
      <c r="E39" s="5">
        <v>0.0085</v>
      </c>
      <c r="F39" s="5">
        <v>0.0085</v>
      </c>
      <c r="G39" s="5">
        <v>0.0111</v>
      </c>
      <c r="I39" s="71"/>
      <c r="J39" s="71"/>
      <c r="K39" s="71"/>
      <c r="L39" s="71"/>
      <c r="M39" s="24"/>
      <c r="N39" s="24"/>
      <c r="O39" s="71"/>
      <c r="P39" s="71"/>
      <c r="Q39" s="71"/>
      <c r="R39" s="71"/>
    </row>
    <row r="40" spans="1:18" ht="12.75">
      <c r="A40" s="1" t="str">
        <f>A39</f>
        <v>Fornecimento de Materiais e Equipamentos</v>
      </c>
      <c r="B40" s="4" t="s">
        <v>12</v>
      </c>
      <c r="C40" s="1" t="str">
        <f t="shared" si="0"/>
        <v>Fornecimento de Materiais e Equipamentos-L</v>
      </c>
      <c r="E40" s="5">
        <v>0.035</v>
      </c>
      <c r="F40" s="5">
        <v>0.051100000000000007</v>
      </c>
      <c r="G40" s="5">
        <v>0.0622</v>
      </c>
      <c r="I40" s="59" t="s">
        <v>46</v>
      </c>
      <c r="J40" s="59"/>
      <c r="K40" s="59"/>
      <c r="L40" s="59"/>
      <c r="M40" s="25"/>
      <c r="N40" s="25"/>
      <c r="O40" s="59" t="s">
        <v>47</v>
      </c>
      <c r="P40" s="59"/>
      <c r="Q40" s="59"/>
      <c r="R40" s="59"/>
    </row>
    <row r="41" spans="1:18" ht="15" customHeight="1">
      <c r="A41" s="1" t="str">
        <f>A40</f>
        <v>Fornecimento de Materiais e Equipamentos</v>
      </c>
      <c r="B41" s="9" t="s">
        <v>13</v>
      </c>
      <c r="C41" s="1" t="str">
        <f t="shared" si="0"/>
        <v>Fornecimento de Materiais e Equipamentos-BDI PAD</v>
      </c>
      <c r="E41" s="5">
        <v>0.111</v>
      </c>
      <c r="F41" s="5">
        <v>0.1402</v>
      </c>
      <c r="G41" s="5">
        <v>0.168</v>
      </c>
      <c r="I41" s="26" t="s">
        <v>48</v>
      </c>
      <c r="J41" s="67" t="s">
        <v>60</v>
      </c>
      <c r="K41" s="67"/>
      <c r="L41" s="67"/>
      <c r="M41" s="27"/>
      <c r="N41" s="27"/>
      <c r="O41" s="26" t="s">
        <v>48</v>
      </c>
      <c r="P41" s="68"/>
      <c r="Q41" s="68"/>
      <c r="R41" s="68"/>
    </row>
    <row r="42" spans="1:18" ht="13.5">
      <c r="A42" s="1" t="s">
        <v>49</v>
      </c>
      <c r="B42" s="4" t="s">
        <v>50</v>
      </c>
      <c r="C42" s="1" t="str">
        <f t="shared" si="0"/>
        <v>Estudos e Projetos, Planos e Gerenciamento e outros correlatos-K1</v>
      </c>
      <c r="E42" s="5" t="s">
        <v>29</v>
      </c>
      <c r="F42" s="5" t="s">
        <v>29</v>
      </c>
      <c r="G42" s="5" t="s">
        <v>29</v>
      </c>
      <c r="I42" s="26" t="s">
        <v>51</v>
      </c>
      <c r="J42" s="67" t="s">
        <v>61</v>
      </c>
      <c r="K42" s="67"/>
      <c r="L42" s="67"/>
      <c r="M42" s="27"/>
      <c r="N42" s="27"/>
      <c r="O42" s="26" t="s">
        <v>52</v>
      </c>
      <c r="P42" s="68"/>
      <c r="Q42" s="68"/>
      <c r="R42" s="68"/>
    </row>
    <row r="43" spans="1:18" ht="13.5">
      <c r="A43" s="1" t="str">
        <f>A42</f>
        <v>Estudos e Projetos, Planos e Gerenciamento e outros correlatos</v>
      </c>
      <c r="B43" s="4" t="s">
        <v>53</v>
      </c>
      <c r="C43" s="1" t="str">
        <f t="shared" si="0"/>
        <v>Estudos e Projetos, Planos e Gerenciamento e outros correlatos-K2</v>
      </c>
      <c r="E43" s="5" t="s">
        <v>29</v>
      </c>
      <c r="F43" s="5">
        <v>0.2</v>
      </c>
      <c r="G43" s="5" t="s">
        <v>29</v>
      </c>
      <c r="I43" s="26" t="s">
        <v>56</v>
      </c>
      <c r="J43" s="67" t="s">
        <v>62</v>
      </c>
      <c r="K43" s="67"/>
      <c r="L43" s="67"/>
      <c r="M43" s="27"/>
      <c r="N43" s="27"/>
      <c r="O43" s="27"/>
      <c r="P43" s="27"/>
      <c r="Q43" s="27"/>
      <c r="R43" s="27"/>
    </row>
    <row r="44" spans="1:7" ht="12.75">
      <c r="A44" s="1" t="str">
        <f>A43</f>
        <v>Estudos e Projetos, Planos e Gerenciamento e outros correlatos</v>
      </c>
      <c r="B44" s="4" t="s">
        <v>54</v>
      </c>
      <c r="C44" s="1" t="str">
        <f t="shared" si="0"/>
        <v>Estudos e Projetos, Planos e Gerenciamento e outros correlatos-</v>
      </c>
      <c r="E44" s="5" t="s">
        <v>29</v>
      </c>
      <c r="F44" s="5" t="s">
        <v>29</v>
      </c>
      <c r="G44" s="5" t="s">
        <v>29</v>
      </c>
    </row>
    <row r="45" spans="1:7" ht="12.75" hidden="1">
      <c r="A45" s="1" t="str">
        <f>A44</f>
        <v>Estudos e Projetos, Planos e Gerenciamento e outros correlatos</v>
      </c>
      <c r="B45" s="4" t="s">
        <v>54</v>
      </c>
      <c r="C45" s="1" t="str">
        <f t="shared" si="0"/>
        <v>Estudos e Projetos, Planos e Gerenciamento e outros correlatos-</v>
      </c>
      <c r="E45" s="5" t="s">
        <v>29</v>
      </c>
      <c r="F45" s="5" t="s">
        <v>29</v>
      </c>
      <c r="G45" s="5" t="s">
        <v>29</v>
      </c>
    </row>
    <row r="46" spans="1:7" ht="12.75" hidden="1">
      <c r="A46" s="1" t="str">
        <f>A45</f>
        <v>Estudos e Projetos, Planos e Gerenciamento e outros correlatos</v>
      </c>
      <c r="B46" s="4" t="s">
        <v>55</v>
      </c>
      <c r="C46" s="1" t="str">
        <f t="shared" si="0"/>
        <v>Estudos e Projetos, Planos e Gerenciamento e outros correlatos-K3</v>
      </c>
      <c r="E46" s="5" t="s">
        <v>29</v>
      </c>
      <c r="F46" s="5">
        <v>0.12</v>
      </c>
      <c r="G46" s="5" t="s">
        <v>29</v>
      </c>
    </row>
    <row r="47" spans="1:7" ht="12.75" hidden="1">
      <c r="A47" s="1" t="str">
        <f>A46</f>
        <v>Estudos e Projetos, Planos e Gerenciamento e outros correlatos</v>
      </c>
      <c r="B47" s="9" t="s">
        <v>13</v>
      </c>
      <c r="C47" s="1" t="str">
        <f t="shared" si="0"/>
        <v>Estudos e Projetos, Planos e Gerenciamento e outros correlatos-BDI PAD</v>
      </c>
      <c r="E47" s="5" t="s">
        <v>29</v>
      </c>
      <c r="F47" s="5" t="s">
        <v>29</v>
      </c>
      <c r="G47" s="5" t="s">
        <v>29</v>
      </c>
    </row>
    <row r="48" ht="12.75" hidden="1"/>
    <row r="49" ht="12.75" hidden="1"/>
    <row r="50" ht="12.75" hidden="1">
      <c r="A50" s="1" t="s">
        <v>4</v>
      </c>
    </row>
    <row r="51" ht="12.75" hidden="1">
      <c r="A51" s="1" t="s">
        <v>15</v>
      </c>
    </row>
    <row r="52" ht="12.75" hidden="1">
      <c r="A52" s="1" t="s">
        <v>19</v>
      </c>
    </row>
    <row r="53" ht="12.75" hidden="1">
      <c r="A53" s="1" t="s">
        <v>30</v>
      </c>
    </row>
    <row r="54" ht="12.75" hidden="1">
      <c r="A54" s="1" t="s">
        <v>38</v>
      </c>
    </row>
    <row r="55" ht="12.75" hidden="1">
      <c r="A55" s="1" t="s">
        <v>43</v>
      </c>
    </row>
    <row r="56" ht="12.75" hidden="1">
      <c r="A56" s="1" t="s">
        <v>49</v>
      </c>
    </row>
    <row r="57" spans="1:7" ht="13.5" hidden="1">
      <c r="A57" s="28"/>
      <c r="B57" s="27"/>
      <c r="C57" s="27"/>
      <c r="D57" s="27"/>
      <c r="E57" s="27"/>
      <c r="F57" s="27"/>
      <c r="G57" s="27"/>
    </row>
    <row r="58" ht="12.75" customHeight="1"/>
    <row r="59" ht="12.75" customHeight="1"/>
  </sheetData>
  <sheetProtection password="E005" sheet="1"/>
  <protectedRanges>
    <protectedRange sqref="I5 K5 Q13:R14 N18:N23 I37 J41:L43 P37 P41:R42 I8 Q11" name="Intervalo1"/>
  </protectedRanges>
  <mergeCells count="50">
    <mergeCell ref="I39:L39"/>
    <mergeCell ref="O39:R39"/>
    <mergeCell ref="I33:R33"/>
    <mergeCell ref="I29:R29"/>
    <mergeCell ref="J43:L43"/>
    <mergeCell ref="J41:L41"/>
    <mergeCell ref="P41:R41"/>
    <mergeCell ref="J42:L42"/>
    <mergeCell ref="P42:R42"/>
    <mergeCell ref="I36:L36"/>
    <mergeCell ref="I37:L37"/>
    <mergeCell ref="P37:R37"/>
    <mergeCell ref="I22:L22"/>
    <mergeCell ref="I23:L23"/>
    <mergeCell ref="I27:L27"/>
    <mergeCell ref="P27:R27"/>
    <mergeCell ref="I40:L40"/>
    <mergeCell ref="O40:R40"/>
    <mergeCell ref="L30:L31"/>
    <mergeCell ref="M30:O30"/>
    <mergeCell ref="P30:P31"/>
    <mergeCell ref="M31:O31"/>
    <mergeCell ref="I24:L24"/>
    <mergeCell ref="I25:L25"/>
    <mergeCell ref="I26:L26"/>
    <mergeCell ref="I16:L17"/>
    <mergeCell ref="M16:M17"/>
    <mergeCell ref="N16:N17"/>
    <mergeCell ref="I18:L18"/>
    <mergeCell ref="I19:L19"/>
    <mergeCell ref="I20:L20"/>
    <mergeCell ref="I21:L21"/>
    <mergeCell ref="O16:O17"/>
    <mergeCell ref="I13:P13"/>
    <mergeCell ref="Q13:R13"/>
    <mergeCell ref="I14:P14"/>
    <mergeCell ref="Q14:R14"/>
    <mergeCell ref="P16:R16"/>
    <mergeCell ref="I11:P11"/>
    <mergeCell ref="Q11:R11"/>
    <mergeCell ref="I5:J5"/>
    <mergeCell ref="K5:R5"/>
    <mergeCell ref="I7:R7"/>
    <mergeCell ref="I8:R8"/>
    <mergeCell ref="Q1:R1"/>
    <mergeCell ref="Q2:R2"/>
    <mergeCell ref="I4:J4"/>
    <mergeCell ref="K4:R4"/>
    <mergeCell ref="I10:P10"/>
    <mergeCell ref="Q10:R10"/>
  </mergeCells>
  <conditionalFormatting sqref="O18:O27">
    <cfRule type="cellIs" priority="7" dxfId="8" operator="equal" stopIfTrue="1">
      <formula>"NÃO OK"</formula>
    </cfRule>
    <cfRule type="cellIs" priority="8" dxfId="9" operator="equal" stopIfTrue="1">
      <formula>"OK"</formula>
    </cfRule>
  </conditionalFormatting>
  <conditionalFormatting sqref="I26:N26">
    <cfRule type="expression" priority="6" dxfId="10" stopIfTrue="1">
      <formula>$Q$11="Não"</formula>
    </cfRule>
  </conditionalFormatting>
  <conditionalFormatting sqref="I27:N27">
    <cfRule type="expression" priority="5" dxfId="11" stopIfTrue="1">
      <formula>$Q$11="sim"</formula>
    </cfRule>
  </conditionalFormatting>
  <conditionalFormatting sqref="P27:R27">
    <cfRule type="expression" priority="4" dxfId="8" stopIfTrue="1">
      <formula>$Q$11="sim"</formula>
    </cfRule>
  </conditionalFormatting>
  <conditionalFormatting sqref="I14:P14">
    <cfRule type="expression" priority="11" dxfId="12" stopIfTrue="1">
      <formula>$I$11=$A$55</formula>
    </cfRule>
  </conditionalFormatting>
  <conditionalFormatting sqref="I13:P13 I33:R33">
    <cfRule type="expression" priority="13" dxfId="13" stopIfTrue="1">
      <formula>$I$11=$A$55</formula>
    </cfRule>
  </conditionalFormatting>
  <conditionalFormatting sqref="I5:R5 I11:R11 Q13:R14 N18:N23 I37:L37 P37:R37 J41:L43 P41:R42 I8">
    <cfRule type="cellIs" priority="21" dxfId="0" operator="notEqual" stopIfTrue="1">
      <formula>""</formula>
    </cfRule>
  </conditionalFormatting>
  <dataValidations count="7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$A$50:$A$56</formula1>
    </dataValidation>
    <dataValidation type="list" allowBlank="1" showInputMessage="1" showErrorMessage="1" sqref="Q11:R11">
      <formula1>"Sim,Não"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4" r:id="rId3"/>
  <legacyDrawing r:id="rId2"/>
  <oleObjects>
    <oleObject progId="" shapeId="88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Thiago</cp:lastModifiedBy>
  <cp:lastPrinted>2015-11-30T12:40:41Z</cp:lastPrinted>
  <dcterms:created xsi:type="dcterms:W3CDTF">2015-11-30T12:13:56Z</dcterms:created>
  <dcterms:modified xsi:type="dcterms:W3CDTF">2021-06-17T15:31:00Z</dcterms:modified>
  <cp:category/>
  <cp:version/>
  <cp:contentType/>
  <cp:contentStatus/>
</cp:coreProperties>
</file>